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RA\Smart Working\provvedimento per 285 ml\prassi attuative Decreto 6\in pubblicazione_15giu2026\"/>
    </mc:Choice>
  </mc:AlternateContent>
  <bookViews>
    <workbookView xWindow="28680" yWindow="270" windowWidth="24855" windowHeight="10620"/>
  </bookViews>
  <sheets>
    <sheet name="scheda parametrica" sheetId="1" r:id="rId1"/>
  </sheets>
  <definedNames>
    <definedName name="_xlnm.Print_Area" localSheetId="0">'scheda parametrica'!$A$2:$O$123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F32" i="1"/>
  <c r="F31" i="1"/>
  <c r="F30" i="1"/>
  <c r="F29" i="1"/>
  <c r="F28" i="1"/>
  <c r="F27" i="1"/>
  <c r="F38" i="1" l="1"/>
  <c r="F69" i="1"/>
  <c r="F72" i="1" s="1"/>
  <c r="D21" i="1" l="1"/>
  <c r="F19" i="1"/>
  <c r="D36" i="1" s="1"/>
  <c r="E36" i="1" s="1"/>
  <c r="F18" i="1"/>
  <c r="D35" i="1" s="1"/>
  <c r="E35" i="1" s="1"/>
  <c r="F17" i="1"/>
  <c r="D34" i="1" s="1"/>
  <c r="E34" i="1" s="1"/>
  <c r="F16" i="1"/>
  <c r="D33" i="1" s="1"/>
  <c r="E33" i="1" s="1"/>
  <c r="F15" i="1"/>
  <c r="D32" i="1" s="1"/>
  <c r="E32" i="1" s="1"/>
  <c r="F14" i="1"/>
  <c r="D31" i="1" s="1"/>
  <c r="E31" i="1" s="1"/>
  <c r="F13" i="1"/>
  <c r="D30" i="1" s="1"/>
  <c r="E30" i="1" s="1"/>
  <c r="F12" i="1"/>
  <c r="D29" i="1" s="1"/>
  <c r="E29" i="1" s="1"/>
  <c r="F11" i="1"/>
  <c r="D28" i="1" s="1"/>
  <c r="E28" i="1" s="1"/>
  <c r="F10" i="1"/>
  <c r="D27" i="1" s="1"/>
  <c r="E27" i="1" s="1"/>
  <c r="D22" i="1" l="1"/>
  <c r="G16" i="1"/>
  <c r="G11" i="1"/>
  <c r="G15" i="1"/>
  <c r="G14" i="1"/>
  <c r="G19" i="1"/>
  <c r="G13" i="1"/>
  <c r="G18" i="1"/>
  <c r="G12" i="1"/>
  <c r="G17" i="1"/>
  <c r="G10" i="1"/>
  <c r="E38" i="1"/>
  <c r="F21" i="1"/>
  <c r="E83" i="1" s="1"/>
  <c r="D24" i="1" l="1"/>
  <c r="D54" i="1" s="1"/>
  <c r="D86" i="1"/>
  <c r="F92" i="1" s="1"/>
  <c r="F95" i="1" s="1"/>
  <c r="F98" i="1" s="1"/>
  <c r="D46" i="1"/>
  <c r="D55" i="1" s="1"/>
  <c r="D58" i="1" l="1"/>
  <c r="F66" i="1" s="1"/>
  <c r="F75" i="1" s="1"/>
  <c r="F116" i="1" s="1"/>
  <c r="F122" i="1" s="1"/>
</calcChain>
</file>

<file path=xl/sharedStrings.xml><?xml version="1.0" encoding="utf-8"?>
<sst xmlns="http://schemas.openxmlformats.org/spreadsheetml/2006/main" count="109" uniqueCount="97">
  <si>
    <t>Dati di input dell'aggregato/unità minima di intervento/edificio singolo</t>
  </si>
  <si>
    <t>unità str</t>
  </si>
  <si>
    <t>SU</t>
  </si>
  <si>
    <t>SNR</t>
  </si>
  <si>
    <t>SP</t>
  </si>
  <si>
    <t>SC</t>
  </si>
  <si>
    <t>US 1</t>
  </si>
  <si>
    <t>US 2</t>
  </si>
  <si>
    <t>US 3</t>
  </si>
  <si>
    <t>US 4</t>
  </si>
  <si>
    <t>US 5</t>
  </si>
  <si>
    <t>US 6</t>
  </si>
  <si>
    <t>US 7</t>
  </si>
  <si>
    <t>US 8</t>
  </si>
  <si>
    <t>US 9</t>
  </si>
  <si>
    <t>US 10</t>
  </si>
  <si>
    <t>Totale SNR</t>
  </si>
  <si>
    <t>Totale SC</t>
  </si>
  <si>
    <t>Tot SNR al 60%</t>
  </si>
  <si>
    <t>% SNR =</t>
  </si>
  <si>
    <t>Liv Contr Bas</t>
  </si>
  <si>
    <t>Contributo</t>
  </si>
  <si>
    <t>L0</t>
  </si>
  <si>
    <t>L1</t>
  </si>
  <si>
    <t>L2</t>
  </si>
  <si>
    <t>L3</t>
  </si>
  <si>
    <t>Decr. 3</t>
  </si>
  <si>
    <t>Decr. 1 - 3</t>
  </si>
  <si>
    <t>LA</t>
  </si>
  <si>
    <t>LBC</t>
  </si>
  <si>
    <t>LBCE</t>
  </si>
  <si>
    <t>Contributo convenzionale intero aggr. =</t>
  </si>
  <si>
    <t>Superficie totale lorda dell'aggregato =</t>
  </si>
  <si>
    <t>Lmi =</t>
  </si>
  <si>
    <t>(al netto di maggiorazoni ed ind. ISTAT)</t>
  </si>
  <si>
    <t>Determinazione percentuale di incremento</t>
  </si>
  <si>
    <t>0%&lt;=%SNR&lt;=25%</t>
  </si>
  <si>
    <t>25%&lt;%SNR&lt;=50%</t>
  </si>
  <si>
    <t>50%&lt;%SNR&lt;=75%</t>
  </si>
  <si>
    <t>75%&lt;%SNR&lt;=100%</t>
  </si>
  <si>
    <t>0&lt;=Lmi&lt;700</t>
  </si>
  <si>
    <t>700&lt;=Lmi&lt;1000</t>
  </si>
  <si>
    <t>1000&lt;=Lmi&lt;1100</t>
  </si>
  <si>
    <t>1100&lt;=Lmi</t>
  </si>
  <si>
    <t>C1</t>
  </si>
  <si>
    <t>C2</t>
  </si>
  <si>
    <t>C3</t>
  </si>
  <si>
    <t>C4</t>
  </si>
  <si>
    <t>R1</t>
  </si>
  <si>
    <t>R2</t>
  </si>
  <si>
    <t>R3</t>
  </si>
  <si>
    <t>R4</t>
  </si>
  <si>
    <t>C =</t>
  </si>
  <si>
    <t>R =</t>
  </si>
  <si>
    <t>% =</t>
  </si>
  <si>
    <t>Calcolo valore di incremento su lavori</t>
  </si>
  <si>
    <t>(comprensivo di maggior. ed ind. ISTAT)</t>
  </si>
  <si>
    <t xml:space="preserve">Totale Superficie complessiva = </t>
  </si>
  <si>
    <t>Lci =</t>
  </si>
  <si>
    <t>Tipologia di intervento =</t>
  </si>
  <si>
    <t>miglioramento</t>
  </si>
  <si>
    <t>Contributo lavori intero aggregato =</t>
  </si>
  <si>
    <t>Riepilogo generale</t>
  </si>
  <si>
    <t>Importo teorico incremento basale =</t>
  </si>
  <si>
    <t>Importo effettivo incremento basale =</t>
  </si>
  <si>
    <t>Calcolo di simulazione Decreto 6</t>
  </si>
  <si>
    <t>per procedura scheda parametrica</t>
  </si>
  <si>
    <t>Percentuale di avanzamento - PERC =</t>
  </si>
  <si>
    <t>Contabilizzato</t>
  </si>
  <si>
    <t>Dati generali</t>
  </si>
  <si>
    <t>Calcolo incremento fondamentale (art. 5 Decreto 6)</t>
  </si>
  <si>
    <t>Calcolo importo contributo basale (art. 6 Decreto 6)</t>
  </si>
  <si>
    <t>Importo massimo incremento basale =</t>
  </si>
  <si>
    <t>Δ &lt; 800,00</t>
  </si>
  <si>
    <t>%SNR per US</t>
  </si>
  <si>
    <t xml:space="preserve">Incremento fondamentale teorico lavori = </t>
  </si>
  <si>
    <t>Effettivo incremento fondamentale lavori Decreto 6 =</t>
  </si>
  <si>
    <t>(calcolato solo in rapporto al limite di 800,00 per miglioramento)</t>
  </si>
  <si>
    <t>(verifica del contenimento nel 30% del contributo concedibile)</t>
  </si>
  <si>
    <t>A</t>
  </si>
  <si>
    <t>B</t>
  </si>
  <si>
    <t>C</t>
  </si>
  <si>
    <t>D</t>
  </si>
  <si>
    <t>E</t>
  </si>
  <si>
    <t>Quota lavori contabilizzata in quota sisma 2009=</t>
  </si>
  <si>
    <t>(calcolata sull'importo lavori al netto della percentuale di avanzamento in quota sisma 2009)</t>
  </si>
  <si>
    <t>(calcolato al netto della percentuale di avanzamento in quota sisma 2009)</t>
  </si>
  <si>
    <t>In caso di SAL finale:</t>
  </si>
  <si>
    <t>Quota lavori Superbonus contabilizzati al 31/12/2025 ed asseverati =</t>
  </si>
  <si>
    <t>Previsione complessiva lavori Superbonus asseverati al 31/12/2025  =</t>
  </si>
  <si>
    <t>Quota lavori su spese previste per l'intervento Superbonus</t>
  </si>
  <si>
    <t>Livelli Contributo base Decreti USRA 1/2013 e 3/2013</t>
  </si>
  <si>
    <t>Tabella di riferimento art. 5 Decreto congiunto n. 6</t>
  </si>
  <si>
    <t>ver 15 giugno 2026</t>
  </si>
  <si>
    <t>Incremento al contributo complessivo Decreto 6 per quota lavori =</t>
  </si>
  <si>
    <t>Incremento al contributo Decreto 6 per quota lavori  =</t>
  </si>
  <si>
    <t>(calcolato al netto della percentuale di avanzamento in quota sisma 2009 e della quota di spese contabilizzate ed asseverate al 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</si>
</sst>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\ &quot;€&quot;"/>
    <numFmt numFmtId="166" formatCode="0.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2" fontId="0" fillId="0" borderId="1" xfId="0" applyNumberFormat="1" applyBorder="1" applyAlignment="1">
      <alignment horizontal="center"/>
    </xf>
    <xf numFmtId="165" fontId="0" fillId="0" borderId="0" xfId="0" applyNumberForma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1" fontId="0" fillId="0" borderId="0" xfId="0" applyNumberForma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2" fontId="0" fillId="2" borderId="1" xfId="0" applyNumberFormat="1" applyFill="1" applyBorder="1" applyAlignment="1">
      <alignment horizontal="right" indent="1"/>
    </xf>
    <xf numFmtId="165" fontId="1" fillId="2" borderId="1" xfId="0" applyNumberFormat="1" applyFont="1" applyFill="1" applyBorder="1"/>
    <xf numFmtId="164" fontId="5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5" fontId="0" fillId="2" borderId="1" xfId="0" applyNumberFormat="1" applyFill="1" applyBorder="1"/>
    <xf numFmtId="0" fontId="11" fillId="0" borderId="0" xfId="0" applyFont="1"/>
    <xf numFmtId="165" fontId="0" fillId="7" borderId="1" xfId="0" applyNumberFormat="1" applyFill="1" applyBorder="1"/>
    <xf numFmtId="0" fontId="12" fillId="0" borderId="0" xfId="0" applyFont="1"/>
    <xf numFmtId="0" fontId="13" fillId="0" borderId="0" xfId="0" applyFont="1"/>
    <xf numFmtId="166" fontId="0" fillId="0" borderId="0" xfId="0" applyNumberFormat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2" borderId="1" xfId="0" applyNumberFormat="1" applyFont="1" applyFill="1" applyBorder="1"/>
    <xf numFmtId="165" fontId="3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0" fontId="16" fillId="0" borderId="0" xfId="0" applyFont="1"/>
    <xf numFmtId="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165" fontId="1" fillId="0" borderId="0" xfId="0" applyNumberFormat="1" applyFont="1"/>
    <xf numFmtId="165" fontId="10" fillId="5" borderId="1" xfId="0" applyNumberFormat="1" applyFont="1" applyFill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/>
    </xf>
    <xf numFmtId="2" fontId="0" fillId="4" borderId="1" xfId="0" applyNumberFormat="1" applyFill="1" applyBorder="1" applyAlignment="1" applyProtection="1">
      <alignment horizontal="right" indent="1"/>
      <protection locked="0"/>
    </xf>
    <xf numFmtId="165" fontId="0" fillId="4" borderId="1" xfId="0" applyNumberFormat="1" applyFill="1" applyBorder="1" applyProtection="1"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165" fontId="5" fillId="4" borderId="1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1" fillId="0" borderId="0" xfId="0" applyNumberFormat="1" applyFont="1" applyFill="1" applyBorder="1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5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15629</xdr:colOff>
      <xdr:row>4</xdr:row>
      <xdr:rowOff>19244</xdr:rowOff>
    </xdr:from>
    <xdr:to>
      <xdr:col>14</xdr:col>
      <xdr:colOff>143885</xdr:colOff>
      <xdr:row>11</xdr:row>
      <xdr:rowOff>38878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8832E50A-E7B0-A9C6-8DCE-7703C19DC8A4}"/>
            </a:ext>
          </a:extLst>
        </xdr:cNvPr>
        <xdr:cNvSpPr txBox="1"/>
      </xdr:nvSpPr>
      <xdr:spPr>
        <a:xfrm>
          <a:off x="8335425" y="942586"/>
          <a:ext cx="4307593" cy="1438664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200" b="1"/>
            <a:t>AVVISO IMPORTANTE</a:t>
          </a:r>
        </a:p>
        <a:p>
          <a:r>
            <a:rPr lang="it-IT" sz="1200"/>
            <a:t>Il presente foglio di calcolo costituisce </a:t>
          </a:r>
          <a:r>
            <a:rPr lang="it-IT" sz="1200" b="1"/>
            <a:t>solo un supporto di calcolo</a:t>
          </a:r>
          <a:r>
            <a:rPr lang="it-IT" sz="1200" b="1" baseline="0"/>
            <a:t> per la definizione dell'incremento di contributo derivante dagli articoli 5, 6 e 7 </a:t>
          </a:r>
          <a:r>
            <a:rPr lang="it-IT" sz="1200" baseline="0"/>
            <a:t>del Decreto congiunto USRA-USRC del 14/05/2026 nelle more dell'implementazione delle procedure della scheda SP2 on line. </a:t>
          </a:r>
          <a:r>
            <a:rPr lang="it-IT" sz="1200" b="1" baseline="0"/>
            <a:t>Il tecnico compilatore è tenuto a verificare la correttezza dei calcoli effettuati.</a:t>
          </a:r>
          <a:endParaRPr lang="it-IT" sz="1200" b="1"/>
        </a:p>
      </xdr:txBody>
    </xdr:sp>
    <xdr:clientData/>
  </xdr:twoCellAnchor>
  <xdr:twoCellAnchor>
    <xdr:from>
      <xdr:col>9</xdr:col>
      <xdr:colOff>25348</xdr:colOff>
      <xdr:row>12</xdr:row>
      <xdr:rowOff>174948</xdr:rowOff>
    </xdr:from>
    <xdr:to>
      <xdr:col>14</xdr:col>
      <xdr:colOff>155510</xdr:colOff>
      <xdr:row>17</xdr:row>
      <xdr:rowOff>106913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A1C97D6D-9368-778B-B670-47DB5ED21E8B}"/>
            </a:ext>
          </a:extLst>
        </xdr:cNvPr>
        <xdr:cNvSpPr txBox="1"/>
      </xdr:nvSpPr>
      <xdr:spPr>
        <a:xfrm>
          <a:off x="8345144" y="2701989"/>
          <a:ext cx="4309499" cy="855307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200"/>
            <a:t>Il</a:t>
          </a:r>
          <a:r>
            <a:rPr lang="it-IT" sz="1200" baseline="0"/>
            <a:t> tecnico compilatore è </a:t>
          </a:r>
          <a:r>
            <a:rPr lang="it-IT" sz="1200" b="1" baseline="0"/>
            <a:t>deve inserire i soli dati relativi alle caselle di colore verde</a:t>
          </a:r>
          <a:r>
            <a:rPr lang="it-IT" sz="1200" baseline="0"/>
            <a:t>, a seconda delle caratteristiche dell'aggregato / UMI / edificio singolo. Tutte le rimanenti caselle vengono valorizzate in base ai risultati del foglio di calcolo.</a:t>
          </a:r>
          <a:endParaRPr lang="it-IT" sz="12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2"/>
  <sheetViews>
    <sheetView tabSelected="1" zoomScale="98" zoomScaleNormal="98" workbookViewId="0">
      <selection activeCell="A2" sqref="A2:O123"/>
    </sheetView>
  </sheetViews>
  <sheetFormatPr defaultRowHeight="15" x14ac:dyDescent="0.25"/>
  <cols>
    <col min="1" max="1" width="8.85546875" style="47"/>
    <col min="2" max="3" width="12.7109375" customWidth="1"/>
    <col min="4" max="4" width="18.7109375" customWidth="1"/>
    <col min="5" max="5" width="17.28515625" customWidth="1"/>
    <col min="6" max="6" width="16.5703125" customWidth="1"/>
    <col min="7" max="7" width="13.140625" customWidth="1"/>
    <col min="9" max="9" width="12.7109375" customWidth="1"/>
    <col min="10" max="10" width="14.140625" customWidth="1"/>
    <col min="11" max="13" width="12.7109375" customWidth="1"/>
  </cols>
  <sheetData>
    <row r="2" spans="1:7" ht="26.25" x14ac:dyDescent="0.4">
      <c r="B2" s="33" t="s">
        <v>65</v>
      </c>
      <c r="G2" s="30" t="s">
        <v>93</v>
      </c>
    </row>
    <row r="3" spans="1:7" ht="18.75" x14ac:dyDescent="0.3">
      <c r="B3" s="30" t="s">
        <v>66</v>
      </c>
    </row>
    <row r="5" spans="1:7" ht="21" x14ac:dyDescent="0.35">
      <c r="A5" s="48" t="s">
        <v>79</v>
      </c>
      <c r="B5" s="32" t="s">
        <v>69</v>
      </c>
    </row>
    <row r="7" spans="1:7" ht="18.75" x14ac:dyDescent="0.3">
      <c r="B7" s="2" t="s">
        <v>0</v>
      </c>
    </row>
    <row r="9" spans="1:7" x14ac:dyDescent="0.25"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74</v>
      </c>
    </row>
    <row r="10" spans="1:7" x14ac:dyDescent="0.25">
      <c r="B10" s="6" t="s">
        <v>6</v>
      </c>
      <c r="C10" s="53">
        <v>0</v>
      </c>
      <c r="D10" s="53">
        <v>91.72</v>
      </c>
      <c r="E10" s="53">
        <v>0</v>
      </c>
      <c r="F10" s="22">
        <f>C10+(D10+E10)*0.6</f>
        <v>55.031999999999996</v>
      </c>
      <c r="G10" s="44">
        <f>D10/$D$21</f>
        <v>0.41977116704805489</v>
      </c>
    </row>
    <row r="11" spans="1:7" x14ac:dyDescent="0.25">
      <c r="B11" s="6" t="s">
        <v>7</v>
      </c>
      <c r="C11" s="53">
        <v>104.43</v>
      </c>
      <c r="D11" s="53">
        <v>36.78</v>
      </c>
      <c r="E11" s="53">
        <v>0</v>
      </c>
      <c r="F11" s="22">
        <f t="shared" ref="F11:F19" si="0">C11+(D11+E11)*0.6</f>
        <v>126.498</v>
      </c>
      <c r="G11" s="44">
        <f>D11/$D$21</f>
        <v>0.16832951945080091</v>
      </c>
    </row>
    <row r="12" spans="1:7" x14ac:dyDescent="0.25">
      <c r="B12" s="6" t="s">
        <v>8</v>
      </c>
      <c r="C12" s="53">
        <v>100</v>
      </c>
      <c r="D12" s="53">
        <v>25</v>
      </c>
      <c r="E12" s="53">
        <v>0</v>
      </c>
      <c r="F12" s="22">
        <f t="shared" si="0"/>
        <v>115</v>
      </c>
      <c r="G12" s="44">
        <f t="shared" ref="G12:G19" si="1">D12/$D$21</f>
        <v>0.11441647597254005</v>
      </c>
    </row>
    <row r="13" spans="1:7" x14ac:dyDescent="0.25">
      <c r="B13" s="6" t="s">
        <v>9</v>
      </c>
      <c r="C13" s="53">
        <v>80</v>
      </c>
      <c r="D13" s="53">
        <v>65</v>
      </c>
      <c r="E13" s="53">
        <v>0</v>
      </c>
      <c r="F13" s="22">
        <f t="shared" si="0"/>
        <v>119</v>
      </c>
      <c r="G13" s="44">
        <f t="shared" si="1"/>
        <v>0.2974828375286041</v>
      </c>
    </row>
    <row r="14" spans="1:7" x14ac:dyDescent="0.25">
      <c r="B14" s="6" t="s">
        <v>10</v>
      </c>
      <c r="C14" s="53">
        <v>0</v>
      </c>
      <c r="D14" s="53">
        <v>0</v>
      </c>
      <c r="E14" s="53">
        <v>0</v>
      </c>
      <c r="F14" s="22">
        <f t="shared" si="0"/>
        <v>0</v>
      </c>
      <c r="G14" s="44">
        <f t="shared" si="1"/>
        <v>0</v>
      </c>
    </row>
    <row r="15" spans="1:7" x14ac:dyDescent="0.25">
      <c r="B15" s="6" t="s">
        <v>11</v>
      </c>
      <c r="C15" s="53">
        <v>0</v>
      </c>
      <c r="D15" s="53">
        <v>0</v>
      </c>
      <c r="E15" s="53">
        <v>0</v>
      </c>
      <c r="F15" s="22">
        <f t="shared" si="0"/>
        <v>0</v>
      </c>
      <c r="G15" s="44">
        <f t="shared" si="1"/>
        <v>0</v>
      </c>
    </row>
    <row r="16" spans="1:7" x14ac:dyDescent="0.25">
      <c r="B16" s="6" t="s">
        <v>12</v>
      </c>
      <c r="C16" s="53">
        <v>0</v>
      </c>
      <c r="D16" s="53">
        <v>0</v>
      </c>
      <c r="E16" s="53">
        <v>0</v>
      </c>
      <c r="F16" s="22">
        <f t="shared" si="0"/>
        <v>0</v>
      </c>
      <c r="G16" s="44">
        <f t="shared" si="1"/>
        <v>0</v>
      </c>
    </row>
    <row r="17" spans="2:13" x14ac:dyDescent="0.25">
      <c r="B17" s="6" t="s">
        <v>13</v>
      </c>
      <c r="C17" s="53">
        <v>0</v>
      </c>
      <c r="D17" s="53">
        <v>0</v>
      </c>
      <c r="E17" s="53">
        <v>0</v>
      </c>
      <c r="F17" s="22">
        <f t="shared" si="0"/>
        <v>0</v>
      </c>
      <c r="G17" s="44">
        <f t="shared" si="1"/>
        <v>0</v>
      </c>
    </row>
    <row r="18" spans="2:13" x14ac:dyDescent="0.25">
      <c r="B18" s="6" t="s">
        <v>14</v>
      </c>
      <c r="C18" s="53">
        <v>0</v>
      </c>
      <c r="D18" s="53">
        <v>0</v>
      </c>
      <c r="E18" s="53">
        <v>0</v>
      </c>
      <c r="F18" s="22">
        <f t="shared" si="0"/>
        <v>0</v>
      </c>
      <c r="G18" s="44">
        <f t="shared" si="1"/>
        <v>0</v>
      </c>
    </row>
    <row r="19" spans="2:13" x14ac:dyDescent="0.25">
      <c r="B19" s="6" t="s">
        <v>15</v>
      </c>
      <c r="C19" s="53">
        <v>0</v>
      </c>
      <c r="D19" s="53">
        <v>0</v>
      </c>
      <c r="E19" s="53">
        <v>0</v>
      </c>
      <c r="F19" s="22">
        <f t="shared" si="0"/>
        <v>0</v>
      </c>
      <c r="G19" s="44">
        <f t="shared" si="1"/>
        <v>0</v>
      </c>
    </row>
    <row r="21" spans="2:13" x14ac:dyDescent="0.25">
      <c r="C21" s="7" t="s">
        <v>16</v>
      </c>
      <c r="D21" s="22">
        <f>SUM(D10:D19)</f>
        <v>218.5</v>
      </c>
      <c r="E21" s="7" t="s">
        <v>17</v>
      </c>
      <c r="F21" s="22">
        <f>SUM(F10:F19)</f>
        <v>415.53</v>
      </c>
    </row>
    <row r="22" spans="2:13" x14ac:dyDescent="0.25">
      <c r="C22" s="8" t="s">
        <v>18</v>
      </c>
      <c r="D22" s="22">
        <f>D21*0.6</f>
        <v>131.1</v>
      </c>
    </row>
    <row r="24" spans="2:13" ht="15.75" x14ac:dyDescent="0.25">
      <c r="C24" s="4" t="s">
        <v>19</v>
      </c>
      <c r="D24" s="24">
        <f>D22/F21</f>
        <v>0.31550068587105623</v>
      </c>
    </row>
    <row r="26" spans="2:13" ht="15.75" thickBot="1" x14ac:dyDescent="0.3">
      <c r="B26" s="3" t="s">
        <v>1</v>
      </c>
      <c r="C26" s="3" t="s">
        <v>20</v>
      </c>
      <c r="D26" s="3" t="s">
        <v>5</v>
      </c>
      <c r="E26" s="3" t="s">
        <v>21</v>
      </c>
      <c r="F26" s="3" t="s">
        <v>73</v>
      </c>
      <c r="G26" s="3" t="s">
        <v>68</v>
      </c>
    </row>
    <row r="27" spans="2:13" ht="15.6" customHeight="1" thickBot="1" x14ac:dyDescent="0.3">
      <c r="B27" s="6" t="s">
        <v>6</v>
      </c>
      <c r="C27" s="54">
        <v>700</v>
      </c>
      <c r="D27" s="22">
        <f t="shared" ref="D27:D36" si="2">F10</f>
        <v>55.031999999999996</v>
      </c>
      <c r="E27" s="29">
        <f>C27*D27</f>
        <v>38522.399999999994</v>
      </c>
      <c r="F27" s="29">
        <f>IF(C27&lt;800,(IF(C27=0,0,800-C27)),0)</f>
        <v>100</v>
      </c>
      <c r="G27" s="31">
        <v>15000</v>
      </c>
      <c r="I27" s="65" t="s">
        <v>91</v>
      </c>
      <c r="J27" s="66"/>
      <c r="K27" s="66"/>
      <c r="L27" s="66"/>
      <c r="M27" s="67"/>
    </row>
    <row r="28" spans="2:13" x14ac:dyDescent="0.25">
      <c r="B28" s="6" t="s">
        <v>7</v>
      </c>
      <c r="C28" s="54">
        <v>1000</v>
      </c>
      <c r="D28" s="22">
        <f t="shared" si="2"/>
        <v>126.498</v>
      </c>
      <c r="E28" s="29">
        <f>C28*D28</f>
        <v>126498</v>
      </c>
      <c r="F28" s="29">
        <f t="shared" ref="F28:F36" si="3">IF(C28&lt;800,(IF(C28=0,0,800-C28)),0)</f>
        <v>0</v>
      </c>
      <c r="G28" s="31">
        <v>20000</v>
      </c>
    </row>
    <row r="29" spans="2:13" x14ac:dyDescent="0.25">
      <c r="B29" s="6" t="s">
        <v>8</v>
      </c>
      <c r="C29" s="54">
        <v>700</v>
      </c>
      <c r="D29" s="22">
        <f t="shared" si="2"/>
        <v>115</v>
      </c>
      <c r="E29" s="29">
        <f t="shared" ref="E29:E36" si="4">C29*D29</f>
        <v>80500</v>
      </c>
      <c r="F29" s="29">
        <f t="shared" si="3"/>
        <v>100</v>
      </c>
      <c r="G29" s="31">
        <v>10000</v>
      </c>
      <c r="J29" s="72" t="s">
        <v>27</v>
      </c>
      <c r="K29" s="6" t="s">
        <v>22</v>
      </c>
      <c r="L29" s="9">
        <v>700</v>
      </c>
    </row>
    <row r="30" spans="2:13" x14ac:dyDescent="0.25">
      <c r="B30" s="6" t="s">
        <v>9</v>
      </c>
      <c r="C30" s="54">
        <v>700</v>
      </c>
      <c r="D30" s="22">
        <f t="shared" si="2"/>
        <v>119</v>
      </c>
      <c r="E30" s="29">
        <f t="shared" si="4"/>
        <v>83300</v>
      </c>
      <c r="F30" s="29">
        <f t="shared" si="3"/>
        <v>100</v>
      </c>
      <c r="G30" s="31">
        <v>5000</v>
      </c>
      <c r="J30" s="72"/>
      <c r="K30" s="6" t="s">
        <v>23</v>
      </c>
      <c r="L30" s="9">
        <v>1000</v>
      </c>
    </row>
    <row r="31" spans="2:13" x14ac:dyDescent="0.25">
      <c r="B31" s="6" t="s">
        <v>10</v>
      </c>
      <c r="C31" s="54"/>
      <c r="D31" s="22">
        <f t="shared" si="2"/>
        <v>0</v>
      </c>
      <c r="E31" s="29">
        <f t="shared" si="4"/>
        <v>0</v>
      </c>
      <c r="F31" s="29">
        <f t="shared" si="3"/>
        <v>0</v>
      </c>
      <c r="G31" s="31">
        <v>0</v>
      </c>
      <c r="J31" s="72"/>
      <c r="K31" s="6" t="s">
        <v>24</v>
      </c>
      <c r="L31" s="9">
        <v>1100</v>
      </c>
    </row>
    <row r="32" spans="2:13" x14ac:dyDescent="0.25">
      <c r="B32" s="6" t="s">
        <v>11</v>
      </c>
      <c r="C32" s="54"/>
      <c r="D32" s="22">
        <f t="shared" si="2"/>
        <v>0</v>
      </c>
      <c r="E32" s="29">
        <f t="shared" si="4"/>
        <v>0</v>
      </c>
      <c r="F32" s="29">
        <f t="shared" si="3"/>
        <v>0</v>
      </c>
      <c r="G32" s="31">
        <v>0</v>
      </c>
      <c r="J32" s="72"/>
      <c r="K32" s="6" t="s">
        <v>25</v>
      </c>
      <c r="L32" s="9">
        <v>1270</v>
      </c>
    </row>
    <row r="33" spans="1:12" x14ac:dyDescent="0.25">
      <c r="B33" s="6" t="s">
        <v>12</v>
      </c>
      <c r="C33" s="54"/>
      <c r="D33" s="22">
        <f t="shared" si="2"/>
        <v>0</v>
      </c>
      <c r="E33" s="29">
        <f t="shared" si="4"/>
        <v>0</v>
      </c>
      <c r="F33" s="29">
        <f t="shared" si="3"/>
        <v>0</v>
      </c>
      <c r="G33" s="31">
        <v>0</v>
      </c>
      <c r="J33" s="72" t="s">
        <v>26</v>
      </c>
      <c r="K33" s="6" t="s">
        <v>28</v>
      </c>
      <c r="L33" s="9">
        <v>200</v>
      </c>
    </row>
    <row r="34" spans="1:12" x14ac:dyDescent="0.25">
      <c r="B34" s="6" t="s">
        <v>13</v>
      </c>
      <c r="C34" s="54"/>
      <c r="D34" s="22">
        <f t="shared" si="2"/>
        <v>0</v>
      </c>
      <c r="E34" s="29">
        <f t="shared" si="4"/>
        <v>0</v>
      </c>
      <c r="F34" s="29">
        <f t="shared" si="3"/>
        <v>0</v>
      </c>
      <c r="G34" s="31">
        <v>0</v>
      </c>
      <c r="J34" s="72"/>
      <c r="K34" s="6" t="s">
        <v>29</v>
      </c>
      <c r="L34" s="9">
        <v>300</v>
      </c>
    </row>
    <row r="35" spans="1:12" x14ac:dyDescent="0.25">
      <c r="B35" s="6" t="s">
        <v>14</v>
      </c>
      <c r="C35" s="54"/>
      <c r="D35" s="22">
        <f t="shared" si="2"/>
        <v>0</v>
      </c>
      <c r="E35" s="29">
        <f t="shared" si="4"/>
        <v>0</v>
      </c>
      <c r="F35" s="29">
        <f t="shared" si="3"/>
        <v>0</v>
      </c>
      <c r="G35" s="31">
        <v>0</v>
      </c>
      <c r="J35" s="72"/>
      <c r="K35" s="6" t="s">
        <v>30</v>
      </c>
      <c r="L35" s="9">
        <v>500</v>
      </c>
    </row>
    <row r="36" spans="1:12" x14ac:dyDescent="0.25">
      <c r="B36" s="6" t="s">
        <v>15</v>
      </c>
      <c r="C36" s="54"/>
      <c r="D36" s="22">
        <f t="shared" si="2"/>
        <v>0</v>
      </c>
      <c r="E36" s="29">
        <f t="shared" si="4"/>
        <v>0</v>
      </c>
      <c r="F36" s="29">
        <f t="shared" si="3"/>
        <v>0</v>
      </c>
      <c r="G36" s="31">
        <v>0</v>
      </c>
    </row>
    <row r="38" spans="1:12" x14ac:dyDescent="0.25">
      <c r="B38" s="73" t="s">
        <v>31</v>
      </c>
      <c r="C38" s="73"/>
      <c r="D38" s="73"/>
      <c r="E38" s="23">
        <f>SUM(E27:E36)</f>
        <v>328820.40000000002</v>
      </c>
      <c r="F38" s="29">
        <f>SUM(F27:F36)</f>
        <v>300</v>
      </c>
    </row>
    <row r="39" spans="1:12" x14ac:dyDescent="0.25">
      <c r="B39" s="74" t="s">
        <v>34</v>
      </c>
      <c r="C39" s="74"/>
      <c r="D39" s="74"/>
      <c r="E39" s="10"/>
    </row>
    <row r="41" spans="1:12" x14ac:dyDescent="0.25">
      <c r="B41" s="73" t="s">
        <v>32</v>
      </c>
      <c r="C41" s="73"/>
      <c r="D41" s="73"/>
      <c r="E41" s="55">
        <v>520</v>
      </c>
    </row>
    <row r="44" spans="1:12" ht="21" x14ac:dyDescent="0.35">
      <c r="A44" s="48" t="s">
        <v>80</v>
      </c>
      <c r="B44" s="32" t="s">
        <v>70</v>
      </c>
    </row>
    <row r="46" spans="1:12" ht="15.75" x14ac:dyDescent="0.25">
      <c r="C46" s="4" t="s">
        <v>33</v>
      </c>
      <c r="D46" s="25">
        <f>E38/E41</f>
        <v>632.34692307692308</v>
      </c>
    </row>
    <row r="49" spans="2:13" ht="19.5" thickBot="1" x14ac:dyDescent="0.35">
      <c r="B49" s="2" t="s">
        <v>35</v>
      </c>
    </row>
    <row r="50" spans="2:13" ht="19.5" thickBot="1" x14ac:dyDescent="0.35">
      <c r="B50" s="2"/>
      <c r="I50" s="68" t="s">
        <v>92</v>
      </c>
      <c r="J50" s="69"/>
      <c r="K50" s="69"/>
      <c r="L50" s="69"/>
      <c r="M50" s="70"/>
    </row>
    <row r="51" spans="2:13" ht="15.75" thickBot="1" x14ac:dyDescent="0.3">
      <c r="J51" s="3" t="s">
        <v>44</v>
      </c>
      <c r="K51" s="3" t="s">
        <v>45</v>
      </c>
      <c r="L51" s="3" t="s">
        <v>46</v>
      </c>
      <c r="M51" s="3" t="s">
        <v>47</v>
      </c>
    </row>
    <row r="52" spans="2:13" ht="30.75" thickBot="1" x14ac:dyDescent="0.3">
      <c r="I52" s="11"/>
      <c r="J52" s="12" t="s">
        <v>36</v>
      </c>
      <c r="K52" s="12" t="s">
        <v>37</v>
      </c>
      <c r="L52" s="12" t="s">
        <v>38</v>
      </c>
      <c r="M52" s="12" t="s">
        <v>39</v>
      </c>
    </row>
    <row r="53" spans="2:13" ht="15.75" thickBot="1" x14ac:dyDescent="0.3">
      <c r="H53" s="15" t="s">
        <v>48</v>
      </c>
      <c r="I53" s="13" t="s">
        <v>40</v>
      </c>
      <c r="J53" s="14">
        <v>0.31</v>
      </c>
      <c r="K53" s="14">
        <v>0.34</v>
      </c>
      <c r="L53" s="14">
        <v>0.37</v>
      </c>
      <c r="M53" s="14">
        <v>0.4</v>
      </c>
    </row>
    <row r="54" spans="2:13" ht="30.75" thickBot="1" x14ac:dyDescent="0.3">
      <c r="C54" s="18" t="s">
        <v>52</v>
      </c>
      <c r="D54" s="26">
        <f>IF(D24&lt;=0.25, 1, IF(AND(D24&gt;0.25, D24&lt;=0.5), 2, IF(AND(D24&gt;0.5, D24&lt;=0.75), 3, IF(AND(D24&gt;0.75, D24&lt;=1), 4, 0))))</f>
        <v>2</v>
      </c>
      <c r="E54" s="17"/>
      <c r="H54" s="15" t="s">
        <v>49</v>
      </c>
      <c r="I54" s="13" t="s">
        <v>41</v>
      </c>
      <c r="J54" s="14">
        <v>0.28000000000000003</v>
      </c>
      <c r="K54" s="14">
        <v>0.31</v>
      </c>
      <c r="L54" s="14">
        <v>0.34</v>
      </c>
      <c r="M54" s="14">
        <v>0.37</v>
      </c>
    </row>
    <row r="55" spans="2:13" ht="30.75" thickBot="1" x14ac:dyDescent="0.3">
      <c r="C55" s="18" t="s">
        <v>53</v>
      </c>
      <c r="D55" s="28">
        <f>IF(D46&lt;700,1,IF(AND(D46&gt;=700,D46&lt;1000),2,IF(AND(D46&gt;=1000,D46&lt;1100),3,IF(D46&gt;=1100,4,0))))</f>
        <v>1</v>
      </c>
      <c r="H55" s="15" t="s">
        <v>50</v>
      </c>
      <c r="I55" s="13" t="s">
        <v>42</v>
      </c>
      <c r="J55" s="14">
        <v>0.25</v>
      </c>
      <c r="K55" s="14">
        <v>0.28000000000000003</v>
      </c>
      <c r="L55" s="14">
        <v>0.31</v>
      </c>
      <c r="M55" s="14">
        <v>0.34</v>
      </c>
    </row>
    <row r="56" spans="2:13" ht="15.75" thickBot="1" x14ac:dyDescent="0.3">
      <c r="H56" s="15" t="s">
        <v>51</v>
      </c>
      <c r="I56" s="13" t="s">
        <v>43</v>
      </c>
      <c r="J56" s="14">
        <v>0.22</v>
      </c>
      <c r="K56" s="14">
        <v>0.25</v>
      </c>
      <c r="L56" s="14">
        <v>0.28000000000000003</v>
      </c>
      <c r="M56" s="14">
        <v>0.31</v>
      </c>
    </row>
    <row r="58" spans="2:13" ht="24.95" customHeight="1" x14ac:dyDescent="0.25">
      <c r="C58" s="18" t="s">
        <v>54</v>
      </c>
      <c r="D58" s="27">
        <f>IF(AND(D55=1, D54=1), 31, IF(AND(D55=1, D54=2), 34, IF(AND(D55=1, D54=3), 37, IF(AND(D55=1, D54=4), 40, IF(AND(D55=2, D54=1), 28, IF(AND(D55=2, D54=2), 31, IF(AND(D55=2, D54=3), 34, IF(AND(D55=2, D54=4), 37, IF(AND(D55=3, D54=1), 25, IF(AND(D55=3, D54=2), 28, IF(AND(D55=3, D54=3), 31, IF(AND(D55=3, D54=4), 34, IF(AND(D55=4, D54=1), 22, IF(AND(D55=4, D54=2), 25, IF(AND(D55=4, D54=3), 28, IF(AND(D55=4, D54=4), 31, 0))))))))))))))))</f>
        <v>34</v>
      </c>
    </row>
    <row r="60" spans="2:13" ht="5.25" customHeight="1" x14ac:dyDescent="0.25"/>
    <row r="61" spans="2:13" ht="51" customHeight="1" x14ac:dyDescent="0.25">
      <c r="B61" s="36" t="s">
        <v>55</v>
      </c>
      <c r="I61" s="64"/>
      <c r="J61" s="64"/>
    </row>
    <row r="62" spans="2:13" x14ac:dyDescent="0.25">
      <c r="I62" s="59"/>
      <c r="J62" s="59"/>
    </row>
    <row r="63" spans="2:13" ht="15.75" x14ac:dyDescent="0.25">
      <c r="B63" s="77" t="s">
        <v>61</v>
      </c>
      <c r="C63" s="77"/>
      <c r="D63" s="77"/>
      <c r="F63" s="56">
        <v>450230.15</v>
      </c>
      <c r="I63" s="60"/>
      <c r="J63" s="60"/>
    </row>
    <row r="64" spans="2:13" x14ac:dyDescent="0.25">
      <c r="B64" s="74" t="s">
        <v>56</v>
      </c>
      <c r="C64" s="74"/>
      <c r="D64" s="74"/>
      <c r="I64" s="61"/>
      <c r="J64" s="62"/>
    </row>
    <row r="65" spans="2:12" x14ac:dyDescent="0.25">
      <c r="B65" s="16"/>
      <c r="C65" s="16"/>
      <c r="D65" s="16"/>
      <c r="I65" s="61"/>
      <c r="J65" s="62"/>
      <c r="L65" s="10"/>
    </row>
    <row r="66" spans="2:12" ht="15.75" x14ac:dyDescent="0.25">
      <c r="B66" s="19" t="s">
        <v>75</v>
      </c>
      <c r="C66" s="16"/>
      <c r="D66" s="16"/>
      <c r="F66" s="39">
        <f>F63*(D58/100)</f>
        <v>153078.25100000002</v>
      </c>
      <c r="I66" s="61"/>
      <c r="J66" s="62"/>
    </row>
    <row r="67" spans="2:12" ht="15.75" x14ac:dyDescent="0.25">
      <c r="B67" s="19"/>
      <c r="C67" s="16"/>
      <c r="D67" s="16"/>
      <c r="I67" s="61"/>
      <c r="J67" s="62"/>
    </row>
    <row r="68" spans="2:12" x14ac:dyDescent="0.25">
      <c r="B68" s="16"/>
      <c r="C68" s="16"/>
      <c r="D68" s="16"/>
      <c r="I68" s="61"/>
      <c r="J68" s="62"/>
    </row>
    <row r="69" spans="2:12" ht="15.75" x14ac:dyDescent="0.25">
      <c r="B69" s="77" t="s">
        <v>84</v>
      </c>
      <c r="C69" s="77"/>
      <c r="D69" s="77"/>
      <c r="F69" s="56">
        <f>SUM(G27:G36)</f>
        <v>50000</v>
      </c>
      <c r="I69" s="61"/>
      <c r="J69" s="62"/>
    </row>
    <row r="70" spans="2:12" x14ac:dyDescent="0.25">
      <c r="B70" s="16"/>
      <c r="C70" s="16"/>
      <c r="D70" s="16"/>
      <c r="I70" s="61"/>
      <c r="J70" s="62"/>
    </row>
    <row r="71" spans="2:12" x14ac:dyDescent="0.25">
      <c r="I71" s="61"/>
      <c r="J71" s="62"/>
    </row>
    <row r="72" spans="2:12" x14ac:dyDescent="0.25">
      <c r="B72" s="20" t="s">
        <v>67</v>
      </c>
      <c r="F72" s="35">
        <f>F69/F63</f>
        <v>0.11105431299969581</v>
      </c>
      <c r="I72" s="61"/>
      <c r="J72" s="62"/>
    </row>
    <row r="73" spans="2:12" x14ac:dyDescent="0.25">
      <c r="B73" s="20"/>
      <c r="E73" s="34"/>
      <c r="I73" s="61"/>
      <c r="J73" s="62"/>
    </row>
    <row r="75" spans="2:12" ht="18.75" x14ac:dyDescent="0.3">
      <c r="B75" s="45" t="s">
        <v>76</v>
      </c>
      <c r="C75" s="2"/>
      <c r="D75" s="2"/>
      <c r="F75" s="40">
        <f>F66*(1-F72)</f>
        <v>136078.25100000002</v>
      </c>
    </row>
    <row r="76" spans="2:12" ht="27" customHeight="1" x14ac:dyDescent="0.25">
      <c r="B76" s="75" t="s">
        <v>85</v>
      </c>
      <c r="C76" s="76"/>
      <c r="D76" s="76"/>
      <c r="E76" s="76"/>
    </row>
    <row r="81" spans="1:10" ht="21" x14ac:dyDescent="0.35">
      <c r="A81" s="48" t="s">
        <v>81</v>
      </c>
      <c r="B81" s="32" t="s">
        <v>71</v>
      </c>
    </row>
    <row r="83" spans="1:10" x14ac:dyDescent="0.25">
      <c r="B83" s="20" t="s">
        <v>57</v>
      </c>
      <c r="E83" s="41">
        <f>F21</f>
        <v>415.53</v>
      </c>
    </row>
    <row r="86" spans="1:10" ht="18.75" x14ac:dyDescent="0.3">
      <c r="C86" s="21" t="s">
        <v>58</v>
      </c>
      <c r="D86" s="46">
        <f>E38/E83</f>
        <v>791.32770197097693</v>
      </c>
    </row>
    <row r="89" spans="1:10" ht="41.25" customHeight="1" x14ac:dyDescent="0.25">
      <c r="B89" s="37" t="s">
        <v>59</v>
      </c>
      <c r="C89" s="38"/>
      <c r="D89" s="57" t="s">
        <v>60</v>
      </c>
      <c r="E89" s="38"/>
      <c r="F89" s="38"/>
      <c r="G89" s="38"/>
      <c r="H89" s="38"/>
      <c r="I89" s="58"/>
      <c r="J89" s="58"/>
    </row>
    <row r="90" spans="1:10" x14ac:dyDescent="0.25">
      <c r="I90" s="59"/>
      <c r="J90" s="59"/>
    </row>
    <row r="91" spans="1:10" x14ac:dyDescent="0.25">
      <c r="I91" s="60"/>
      <c r="J91" s="60"/>
    </row>
    <row r="92" spans="1:10" ht="18.75" x14ac:dyDescent="0.3">
      <c r="B92" s="2" t="s">
        <v>63</v>
      </c>
      <c r="F92" s="42">
        <f>IF(D86&lt;800, (800-D86)*E83, 0)</f>
        <v>3603.5999999999553</v>
      </c>
      <c r="I92" s="61"/>
      <c r="J92" s="62"/>
    </row>
    <row r="93" spans="1:10" x14ac:dyDescent="0.25">
      <c r="B93" s="16" t="s">
        <v>77</v>
      </c>
      <c r="I93" s="61"/>
      <c r="J93" s="62"/>
    </row>
    <row r="94" spans="1:10" x14ac:dyDescent="0.25">
      <c r="I94" s="61"/>
      <c r="J94" s="62"/>
    </row>
    <row r="95" spans="1:10" ht="18.75" x14ac:dyDescent="0.3">
      <c r="B95" s="2" t="s">
        <v>72</v>
      </c>
      <c r="F95" s="42">
        <f>IF(F92&gt;(E38*0.3), E38*0.3, F92)</f>
        <v>3603.5999999999553</v>
      </c>
      <c r="I95" s="61"/>
      <c r="J95" s="62"/>
    </row>
    <row r="96" spans="1:10" x14ac:dyDescent="0.25">
      <c r="B96" s="16" t="s">
        <v>78</v>
      </c>
      <c r="I96" s="61"/>
      <c r="J96" s="62"/>
    </row>
    <row r="97" spans="1:10" ht="18.75" x14ac:dyDescent="0.3">
      <c r="B97" s="2"/>
      <c r="I97" s="61"/>
      <c r="J97" s="62"/>
    </row>
    <row r="98" spans="1:10" ht="18.75" x14ac:dyDescent="0.3">
      <c r="B98" s="2" t="s">
        <v>64</v>
      </c>
      <c r="F98" s="43">
        <f>F95*(1-F72)</f>
        <v>3203.4046776742566</v>
      </c>
      <c r="I98" s="61"/>
      <c r="J98" s="62"/>
    </row>
    <row r="99" spans="1:10" x14ac:dyDescent="0.25">
      <c r="B99" s="16" t="s">
        <v>86</v>
      </c>
      <c r="I99" s="61"/>
      <c r="J99" s="62"/>
    </row>
    <row r="100" spans="1:10" ht="18.75" x14ac:dyDescent="0.3">
      <c r="B100" s="2"/>
      <c r="I100" s="61"/>
      <c r="J100" s="62"/>
    </row>
    <row r="101" spans="1:10" x14ac:dyDescent="0.25">
      <c r="I101" s="61"/>
      <c r="J101" s="62"/>
    </row>
    <row r="102" spans="1:10" x14ac:dyDescent="0.25">
      <c r="I102" s="47"/>
      <c r="J102" s="50"/>
    </row>
    <row r="103" spans="1:10" x14ac:dyDescent="0.25">
      <c r="I103" s="47"/>
      <c r="J103" s="50"/>
    </row>
    <row r="104" spans="1:10" ht="23.25" x14ac:dyDescent="0.35">
      <c r="A104" s="48" t="s">
        <v>82</v>
      </c>
      <c r="B104" s="1" t="s">
        <v>90</v>
      </c>
      <c r="I104" s="47"/>
      <c r="J104" s="50"/>
    </row>
    <row r="105" spans="1:10" x14ac:dyDescent="0.25">
      <c r="I105" s="47"/>
      <c r="J105" s="50"/>
    </row>
    <row r="106" spans="1:10" x14ac:dyDescent="0.25">
      <c r="I106" s="47"/>
      <c r="J106" s="50"/>
    </row>
    <row r="107" spans="1:10" ht="31.9" customHeight="1" x14ac:dyDescent="0.25">
      <c r="B107" s="78" t="s">
        <v>88</v>
      </c>
      <c r="C107" s="78"/>
      <c r="D107" s="78"/>
      <c r="E107" s="78"/>
      <c r="F107" s="63">
        <v>100000</v>
      </c>
      <c r="I107" s="47"/>
      <c r="J107" s="50"/>
    </row>
    <row r="108" spans="1:10" x14ac:dyDescent="0.25">
      <c r="I108" s="47"/>
      <c r="J108" s="50"/>
    </row>
    <row r="109" spans="1:10" x14ac:dyDescent="0.25">
      <c r="I109" s="47"/>
      <c r="J109" s="50"/>
    </row>
    <row r="110" spans="1:10" ht="32.450000000000003" customHeight="1" x14ac:dyDescent="0.25">
      <c r="B110" s="78" t="s">
        <v>89</v>
      </c>
      <c r="C110" s="78"/>
      <c r="D110" s="78"/>
      <c r="E110" s="78"/>
      <c r="F110" s="63">
        <v>200000</v>
      </c>
      <c r="I110" s="47"/>
      <c r="J110" s="50"/>
    </row>
    <row r="111" spans="1:10" x14ac:dyDescent="0.25">
      <c r="I111" s="47"/>
      <c r="J111" s="50"/>
    </row>
    <row r="112" spans="1:10" x14ac:dyDescent="0.25">
      <c r="I112" s="47"/>
      <c r="J112" s="50"/>
    </row>
    <row r="113" spans="1:10" x14ac:dyDescent="0.25">
      <c r="I113" s="47"/>
      <c r="J113" s="50"/>
    </row>
    <row r="114" spans="1:10" ht="23.25" x14ac:dyDescent="0.35">
      <c r="A114" s="48" t="s">
        <v>83</v>
      </c>
      <c r="B114" s="1" t="s">
        <v>62</v>
      </c>
    </row>
    <row r="116" spans="1:10" ht="39" customHeight="1" x14ac:dyDescent="0.35">
      <c r="B116" s="80" t="s">
        <v>94</v>
      </c>
      <c r="C116" s="81"/>
      <c r="D116" s="81"/>
      <c r="E116" s="81"/>
      <c r="F116" s="51">
        <f>IF(F107=0, IF(F110&lt;(F75+F98), F110, (F75+F98)), IF(F110&lt;(F75+F98), (F110-F107), IF(F107&gt;(F75+F98), 0, ((F75+F98)-F107))))</f>
        <v>39281.65567767428</v>
      </c>
    </row>
    <row r="117" spans="1:10" ht="29.45" customHeight="1" x14ac:dyDescent="0.25">
      <c r="B117" s="71" t="s">
        <v>96</v>
      </c>
      <c r="C117" s="71"/>
      <c r="D117" s="71"/>
      <c r="E117" s="71"/>
    </row>
    <row r="120" spans="1:10" ht="18.75" x14ac:dyDescent="0.3">
      <c r="B120" s="49" t="s">
        <v>87</v>
      </c>
    </row>
    <row r="122" spans="1:10" ht="33.6" customHeight="1" x14ac:dyDescent="0.25">
      <c r="B122" s="78" t="s">
        <v>95</v>
      </c>
      <c r="C122" s="75"/>
      <c r="D122" s="75"/>
      <c r="E122" s="79"/>
      <c r="F122" s="52">
        <f>F116*0.1</f>
        <v>3928.165567767428</v>
      </c>
    </row>
  </sheetData>
  <sheetProtection algorithmName="SHA-512" hashValue="CjKBzZl1Rsn1zh2nz6gERwH+wmPDRkiQ+Y/P3btBcxuGoHnrjkaxrITw1ZkVg5u8YSCkv0QBiHDKKMd/2pcCGA==" saltValue="auGI78L08Z4L5rEN0pUyQg==" spinCount="100000" sheet="1" objects="1" scenarios="1"/>
  <mergeCells count="16">
    <mergeCell ref="B122:E122"/>
    <mergeCell ref="B107:E107"/>
    <mergeCell ref="B110:E110"/>
    <mergeCell ref="B69:D69"/>
    <mergeCell ref="B116:E116"/>
    <mergeCell ref="I27:M27"/>
    <mergeCell ref="I50:M50"/>
    <mergeCell ref="B117:E117"/>
    <mergeCell ref="J29:J32"/>
    <mergeCell ref="J33:J35"/>
    <mergeCell ref="B38:D38"/>
    <mergeCell ref="B41:D41"/>
    <mergeCell ref="B39:D39"/>
    <mergeCell ref="B76:E76"/>
    <mergeCell ref="B63:D63"/>
    <mergeCell ref="B64:D64"/>
  </mergeCells>
  <dataValidations count="1">
    <dataValidation type="list" allowBlank="1" showInputMessage="1" showErrorMessage="1" sqref="C27:C36">
      <formula1>$L$29:$L$35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parametrica</vt:lpstr>
      <vt:lpstr>'scheda parametrica'!Area_stampa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Sulpizii</dc:creator>
  <cp:lastModifiedBy>Sergio Sulpizii</cp:lastModifiedBy>
  <cp:lastPrinted>2026-06-15T06:47:40Z</cp:lastPrinted>
  <dcterms:created xsi:type="dcterms:W3CDTF">2026-04-13T06:51:44Z</dcterms:created>
  <dcterms:modified xsi:type="dcterms:W3CDTF">2026-06-15T06:47:46Z</dcterms:modified>
</cp:coreProperties>
</file>